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<sst xmlns="http://schemas.openxmlformats.org/spreadsheetml/2006/main" count="196" uniqueCount="190">
  <si>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</si>
  <si>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</si>
  <si>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</si>
  <si>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</si>
  <si>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</si>
  <si>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</si>
  <si>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</si>
  <si>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</si>
  <si>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</si>
  <si>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</si>
  <si>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</si>
  <si>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</si>
  <si>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</si>
  <si>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</si>
  <si>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</si>
  <si>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</si>
  <si>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</si>
  <si>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</si>
  <si>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</si>
  <si>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</si>
  <si>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</si>
  <si>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</si>
  <si>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</si>
  <si>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</si>
  <si>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</si>
  <si>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</si>
  <si>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</si>
  <si>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</si>
  <si>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</si>
  <si>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</si>
  <si>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</si>
  <si>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</si>
  <si>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</si>
  <si>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</si>
  <si>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</si>
  <si>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</si>
  <si>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</si>
  <si>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</si>
  <si>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</si>
  <si>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</si>
  <si>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</si>
  <si>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</si>
  <si>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</si>
  <si>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</si>
  <si>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</si>
  <si>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</si>
  <si>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</si>
  <si>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</si>
  <si>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</si>
  <si>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</si>
  <si>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</si>
  <si>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</si>
  <si>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</si>
  <si>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</si>
  <si>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</si>
  <si>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</si>
  <si>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</si>
  <si>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</si>
  <si>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</si>
  <si>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</si>
  <si>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</si>
  <si>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</si>
  <si>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</si>
  <si>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</si>
  <si>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</si>
  <si>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</si>
  <si>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</si>
  <si>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</si>
  <si>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</si>
  <si>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</si>
  <si>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</si>
  <si>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</si>
  <si>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</si>
  <si>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</si>
  <si>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</si>
  <si>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</si>
  <si>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</si>
  <si>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</si>
  <si>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</si>
  <si>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</si>
  <si>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</si>
  <si>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</si>
  <si>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</si>
  <si>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</si>
  <si>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</si>
  <si>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</si>
  <si>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</si>
  <si>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</si>
  <si>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</si>
  <si>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</si>
  <si>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</si>
  <si>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</si>
  <si>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</si>
  <si>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</si>
  <si>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</si>
  <si>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</si>
  <si>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</si>
  <si>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</si>
  <si>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</si>
  <si>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</si>
  <si>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</si>
  <si>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</si>
  <si>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</si>
  <si>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</si>
  <si>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</si>
  <si>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</si>
  <si>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</si>
  <si>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</si>
  <si>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</si>
  <si>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</si>
  <si>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</si>
  <si>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</si>
  <si>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</si>
  <si>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</si>
  <si>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</si>
  <si>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</si>
  <si>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</si>
  <si>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</si>
  <si>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</si>
  <si>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</si>
  <si>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</si>
  <si>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</si>
  <si>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</si>
  <si>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</si>
  <si>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</si>
  <si>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</si>
  <si>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</si>
  <si>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</si>
  <si>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</si>
  <si>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</si>
  <si>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</si>
  <si>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</si>
  <si>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</si>
  <si>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</si>
  <si>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</si>
  <si>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</si>
  <si>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</si>
  <si>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</si>
  <si>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</si>
  <si>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</si>
  <si>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</si>
  <si>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</si>
  <si>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</si>
  <si>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</si>
  <si>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</si>
  <si>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</si>
  <si>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</si>
  <si>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</si>
  <si>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</si>
  <si>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</si>
  <si>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</si>
  <si>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</si>
  <si>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</si>
  <si>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</si>
  <si>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</si>
  <si>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</si>
  <si>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</si>
  <si>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</si>
  <si>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</si>
  <si>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</si>
  <si>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</si>
  <si>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</si>
  <si>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</si>
  <si>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</si>
  <si>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</si>
  <si>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</si>
  <si>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</si>
  <si>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</si>
  <si>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</si>
  <si>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</si>
  <si>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</si>
  <si>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</si>
  <si>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</si>
  <si>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</si>
  <si>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</si>
  <si>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</si>
  <si>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</si>
  <si>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</si>
  <si>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</si>
  <si>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</si>
  <si>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</si>
  <si>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</si>
  <si>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</si>
  <si>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</si>
  <si>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</si>
  <si>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</si>
  <si>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</si>
  <si>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</si>
  <si>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</si>
  <si>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Профінансовано станом на 07.05.2019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</si>
</sst>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5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tabSelected="1" zoomScale="117" zoomScaleNormal="117" zoomScalePageLayoutView="0" workbookViewId="0" topLeftCell="A21">
      <selection activeCell="AE84" sqref="AE8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74"/>
      <c r="AE1" s="174"/>
      <c r="AF1" s="174"/>
      <c r="AG1" s="174"/>
    </row>
    <row r="2" ht="17.25" hidden="1">
      <c r="B2" s="7"/>
    </row>
    <row r="3" spans="1:33" ht="33" customHeight="1">
      <c r="A3" s="175" t="s">
        <v>42</v>
      </c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</row>
    <row r="4" spans="2:32" ht="15.75" customHeight="1">
      <c r="B4" s="7"/>
      <c r="AF4" s="118" t="s">
        <v>174</v>
      </c>
    </row>
    <row r="5" spans="1:33" ht="18.75" customHeight="1">
      <c r="A5" s="177" t="s">
        <v>34</v>
      </c>
      <c r="B5" s="179" t="s">
        <v>35</v>
      </c>
      <c r="AB5" s="181" t="s">
        <v>173</v>
      </c>
      <c r="AC5" s="181" t="s">
        <v>80</v>
      </c>
      <c r="AD5" s="183" t="s">
        <v>51</v>
      </c>
      <c r="AE5" s="62" t="s">
        <v>53</v>
      </c>
      <c r="AF5" s="185" t="s">
        <v>189</v>
      </c>
      <c r="AG5" s="183" t="s">
        <v>172</v>
      </c>
    </row>
    <row r="6" spans="1:33" ht="22.5" customHeight="1" thickBot="1">
      <c r="A6" s="178"/>
      <c r="B6" s="18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2"/>
      <c r="AC6" s="182"/>
      <c r="AD6" s="184"/>
      <c r="AE6" s="61" t="s">
        <v>52</v>
      </c>
      <c r="AF6" s="186"/>
      <c r="AG6" s="18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1" t="s">
        <v>27</v>
      </c>
      <c r="B8" s="132" t="s">
        <v>58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 t="e">
        <f>#REF!</f>
        <v>#REF!</v>
      </c>
      <c r="AC8" s="74"/>
    </row>
    <row r="9" spans="1:33" ht="21" customHeight="1" thickBot="1">
      <c r="A9" s="168" t="s">
        <v>175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</row>
    <row r="10" spans="1:33" ht="33" customHeight="1">
      <c r="A10" s="135" t="s">
        <v>41</v>
      </c>
      <c r="B10" s="136" t="s">
        <v>81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>
        <f aca="true" t="shared" si="0" ref="AB10:AB84">AC10+AD10</f>
        <v>24422587.43</v>
      </c>
      <c r="AC10" s="86"/>
      <c r="AD10" s="139">
        <f>SUM(AD11:AD51)</f>
        <v>24422587.43</v>
      </c>
      <c r="AE10" s="139">
        <f>SUM(AE11:AE51)</f>
        <v>24422587.43</v>
      </c>
      <c r="AF10" s="139">
        <f>SUM(AF11:AF51)</f>
        <v>341422.53</v>
      </c>
      <c r="AG10" s="140">
        <f>AF10/AB10*100</f>
        <v>1.397978535151466</v>
      </c>
    </row>
    <row r="11" spans="1:33" ht="51.75">
      <c r="A11" s="73" t="s">
        <v>27</v>
      </c>
      <c r="B11" s="106" t="s">
        <v>144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55">
        <f aca="true" t="shared" si="1" ref="AB11:AB18">AC11+AD11</f>
        <v>10000000</v>
      </c>
      <c r="AC11" s="105"/>
      <c r="AD11" s="107">
        <v>10000000</v>
      </c>
      <c r="AE11" s="93">
        <f aca="true" t="shared" si="2" ref="AE11:AE20">AD11</f>
        <v>10000000</v>
      </c>
      <c r="AF11" s="167"/>
      <c r="AG11" s="120">
        <f>AF11/AB11*100</f>
        <v>0</v>
      </c>
    </row>
    <row r="12" spans="1:33" ht="39">
      <c r="A12" s="73" t="s">
        <v>62</v>
      </c>
      <c r="B12" s="106" t="s">
        <v>147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55">
        <f t="shared" si="1"/>
        <v>8875787.43</v>
      </c>
      <c r="AC12" s="105"/>
      <c r="AD12" s="107">
        <v>8875787.43</v>
      </c>
      <c r="AE12" s="93">
        <f t="shared" si="2"/>
        <v>8875787.43</v>
      </c>
      <c r="AF12" s="167"/>
      <c r="AG12" s="120">
        <f aca="true" t="shared" si="3" ref="AG12:AG78">AF12/AB12*100</f>
        <v>0</v>
      </c>
    </row>
    <row r="13" spans="1:33" ht="25.5">
      <c r="A13" s="73" t="s">
        <v>63</v>
      </c>
      <c r="B13" s="106" t="s">
        <v>184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55">
        <f t="shared" si="1"/>
        <v>230000</v>
      </c>
      <c r="AC13" s="105"/>
      <c r="AD13" s="107">
        <v>230000</v>
      </c>
      <c r="AE13" s="93">
        <f>AD13</f>
        <v>230000</v>
      </c>
      <c r="AF13" s="167"/>
      <c r="AG13" s="120"/>
    </row>
    <row r="14" spans="1:33" ht="33" customHeight="1">
      <c r="A14" s="73" t="s">
        <v>63</v>
      </c>
      <c r="B14" s="106" t="s">
        <v>142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55">
        <f t="shared" si="1"/>
        <v>350000</v>
      </c>
      <c r="AC14" s="105"/>
      <c r="AD14" s="107">
        <v>350000</v>
      </c>
      <c r="AE14" s="93">
        <f t="shared" si="2"/>
        <v>350000</v>
      </c>
      <c r="AF14" s="167"/>
      <c r="AG14" s="120">
        <f t="shared" si="3"/>
        <v>0</v>
      </c>
    </row>
    <row r="15" spans="1:33" ht="33" customHeight="1">
      <c r="A15" s="73" t="s">
        <v>64</v>
      </c>
      <c r="B15" s="106" t="s">
        <v>145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55">
        <f t="shared" si="1"/>
        <v>350000</v>
      </c>
      <c r="AC15" s="105"/>
      <c r="AD15" s="107">
        <v>350000</v>
      </c>
      <c r="AE15" s="93">
        <f t="shared" si="2"/>
        <v>350000</v>
      </c>
      <c r="AF15" s="167"/>
      <c r="AG15" s="120">
        <f t="shared" si="3"/>
        <v>0</v>
      </c>
    </row>
    <row r="16" spans="1:33" ht="33" customHeight="1">
      <c r="A16" s="73" t="s">
        <v>65</v>
      </c>
      <c r="B16" s="106" t="s">
        <v>138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55">
        <f t="shared" si="1"/>
        <v>800000</v>
      </c>
      <c r="AC16" s="105"/>
      <c r="AD16" s="107">
        <v>800000</v>
      </c>
      <c r="AE16" s="93">
        <f t="shared" si="2"/>
        <v>800000</v>
      </c>
      <c r="AF16" s="167"/>
      <c r="AG16" s="120">
        <f t="shared" si="3"/>
        <v>0</v>
      </c>
    </row>
    <row r="17" spans="1:33" ht="33" customHeight="1">
      <c r="A17" s="73" t="s">
        <v>66</v>
      </c>
      <c r="B17" s="106" t="s">
        <v>146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55">
        <f t="shared" si="1"/>
        <v>450000</v>
      </c>
      <c r="AC17" s="105"/>
      <c r="AD17" s="107">
        <v>450000</v>
      </c>
      <c r="AE17" s="93">
        <f t="shared" si="2"/>
        <v>450000</v>
      </c>
      <c r="AF17" s="167"/>
      <c r="AG17" s="120">
        <f t="shared" si="3"/>
        <v>0</v>
      </c>
    </row>
    <row r="18" spans="1:33" ht="33" customHeight="1">
      <c r="A18" s="73" t="s">
        <v>67</v>
      </c>
      <c r="B18" s="106" t="s">
        <v>143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55">
        <f t="shared" si="1"/>
        <v>450000</v>
      </c>
      <c r="AC18" s="105"/>
      <c r="AD18" s="107">
        <v>450000</v>
      </c>
      <c r="AE18" s="93">
        <f t="shared" si="2"/>
        <v>450000</v>
      </c>
      <c r="AF18" s="167"/>
      <c r="AG18" s="120">
        <f t="shared" si="3"/>
        <v>0</v>
      </c>
    </row>
    <row r="19" spans="1:33" ht="26.25" customHeight="1">
      <c r="A19" s="73" t="s">
        <v>68</v>
      </c>
      <c r="B19" s="106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55">
        <f t="shared" si="0"/>
        <v>162750</v>
      </c>
      <c r="AC19" s="67"/>
      <c r="AD19" s="107">
        <v>162750</v>
      </c>
      <c r="AE19" s="93">
        <f t="shared" si="2"/>
        <v>162750</v>
      </c>
      <c r="AF19" s="127">
        <f>75281.37+4763</f>
        <v>80044.37</v>
      </c>
      <c r="AG19" s="120">
        <f t="shared" si="3"/>
        <v>49.18240860215054</v>
      </c>
    </row>
    <row r="20" spans="1:33" ht="26.25" customHeight="1">
      <c r="A20" s="73"/>
      <c r="B20" s="106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55">
        <f t="shared" si="0"/>
        <v>351750</v>
      </c>
      <c r="AC20" s="67"/>
      <c r="AD20" s="107">
        <v>351750</v>
      </c>
      <c r="AE20" s="93">
        <f t="shared" si="2"/>
        <v>351750</v>
      </c>
      <c r="AF20" s="167"/>
      <c r="AG20" s="120">
        <f t="shared" si="3"/>
        <v>0</v>
      </c>
    </row>
    <row r="21" spans="1:33" ht="27" customHeight="1">
      <c r="A21" s="73" t="s">
        <v>69</v>
      </c>
      <c r="B21" s="106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55">
        <f t="shared" si="0"/>
        <v>4000</v>
      </c>
      <c r="AC21" s="67"/>
      <c r="AD21" s="107">
        <v>4000</v>
      </c>
      <c r="AE21" s="93">
        <f aca="true" t="shared" si="4" ref="AE21:AE51">AD21</f>
        <v>4000</v>
      </c>
      <c r="AF21" s="167"/>
      <c r="AG21" s="120">
        <f t="shared" si="3"/>
        <v>0</v>
      </c>
    </row>
    <row r="22" spans="1:33" ht="24.75" customHeight="1">
      <c r="A22" s="73" t="s">
        <v>70</v>
      </c>
      <c r="B22" s="106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55">
        <f t="shared" si="0"/>
        <v>136500</v>
      </c>
      <c r="AC22" s="67"/>
      <c r="AD22" s="107">
        <v>136500</v>
      </c>
      <c r="AE22" s="93">
        <f t="shared" si="4"/>
        <v>136500</v>
      </c>
      <c r="AF22" s="167"/>
      <c r="AG22" s="120">
        <f t="shared" si="3"/>
        <v>0</v>
      </c>
    </row>
    <row r="23" spans="1:33" ht="28.5" customHeight="1">
      <c r="A23" s="73" t="s">
        <v>71</v>
      </c>
      <c r="B23" s="106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55">
        <f t="shared" si="0"/>
        <v>105000</v>
      </c>
      <c r="AC23" s="67"/>
      <c r="AD23" s="107">
        <v>105000</v>
      </c>
      <c r="AE23" s="93">
        <f t="shared" si="4"/>
        <v>105000</v>
      </c>
      <c r="AF23" s="166">
        <v>1303.58</v>
      </c>
      <c r="AG23" s="120">
        <f t="shared" si="3"/>
        <v>1.2415047619047619</v>
      </c>
    </row>
    <row r="24" spans="1:33" ht="24" customHeight="1">
      <c r="A24" s="73" t="s">
        <v>72</v>
      </c>
      <c r="B24" s="106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55">
        <f t="shared" si="0"/>
        <v>3000</v>
      </c>
      <c r="AC24" s="67"/>
      <c r="AD24" s="107">
        <v>3000</v>
      </c>
      <c r="AE24" s="93">
        <f t="shared" si="4"/>
        <v>3000</v>
      </c>
      <c r="AF24" s="167">
        <v>2508.74</v>
      </c>
      <c r="AG24" s="120">
        <f t="shared" si="3"/>
        <v>83.62466666666666</v>
      </c>
    </row>
    <row r="25" spans="1:33" ht="27" customHeight="1">
      <c r="A25" s="73" t="s">
        <v>82</v>
      </c>
      <c r="B25" s="106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55">
        <f t="shared" si="0"/>
        <v>3000</v>
      </c>
      <c r="AC25" s="67"/>
      <c r="AD25" s="107">
        <v>3000</v>
      </c>
      <c r="AE25" s="93">
        <f t="shared" si="4"/>
        <v>3000</v>
      </c>
      <c r="AF25" s="167">
        <v>1962.84</v>
      </c>
      <c r="AG25" s="120">
        <f t="shared" si="3"/>
        <v>65.428</v>
      </c>
    </row>
    <row r="26" spans="1:33" ht="25.5" customHeight="1">
      <c r="A26" s="73" t="s">
        <v>83</v>
      </c>
      <c r="B26" s="106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55">
        <f t="shared" si="0"/>
        <v>2000</v>
      </c>
      <c r="AC26" s="67"/>
      <c r="AD26" s="107">
        <v>2000</v>
      </c>
      <c r="AE26" s="93">
        <f t="shared" si="4"/>
        <v>2000</v>
      </c>
      <c r="AF26" s="167"/>
      <c r="AG26" s="120">
        <f t="shared" si="3"/>
        <v>0</v>
      </c>
    </row>
    <row r="27" spans="1:33" ht="27" customHeight="1">
      <c r="A27" s="73" t="s">
        <v>84</v>
      </c>
      <c r="B27" s="106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55">
        <f t="shared" si="0"/>
        <v>400000</v>
      </c>
      <c r="AC27" s="67"/>
      <c r="AD27" s="107">
        <v>400000</v>
      </c>
      <c r="AE27" s="93">
        <f t="shared" si="4"/>
        <v>400000</v>
      </c>
      <c r="AF27" s="93">
        <f>18326+6278</f>
        <v>24604</v>
      </c>
      <c r="AG27" s="120">
        <f t="shared" si="3"/>
        <v>6.151</v>
      </c>
    </row>
    <row r="28" spans="1:33" ht="38.25" customHeight="1">
      <c r="A28" s="73" t="s">
        <v>85</v>
      </c>
      <c r="B28" s="106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55">
        <f t="shared" si="0"/>
        <v>50000</v>
      </c>
      <c r="AC28" s="67"/>
      <c r="AD28" s="107">
        <v>50000</v>
      </c>
      <c r="AE28" s="93">
        <f t="shared" si="4"/>
        <v>50000</v>
      </c>
      <c r="AF28" s="167"/>
      <c r="AG28" s="120">
        <f t="shared" si="3"/>
        <v>0</v>
      </c>
    </row>
    <row r="29" spans="1:33" ht="27.75" customHeight="1">
      <c r="A29" s="73" t="s">
        <v>86</v>
      </c>
      <c r="B29" s="106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55">
        <f t="shared" si="0"/>
        <v>16000</v>
      </c>
      <c r="AC29" s="67"/>
      <c r="AD29" s="107">
        <v>16000</v>
      </c>
      <c r="AE29" s="93">
        <f t="shared" si="4"/>
        <v>16000</v>
      </c>
      <c r="AF29" s="167"/>
      <c r="AG29" s="120">
        <f t="shared" si="3"/>
        <v>0</v>
      </c>
    </row>
    <row r="30" spans="1:33" ht="29.25" customHeight="1">
      <c r="A30" s="73" t="s">
        <v>87</v>
      </c>
      <c r="B30" s="106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55">
        <f t="shared" si="0"/>
        <v>16000</v>
      </c>
      <c r="AC30" s="67"/>
      <c r="AD30" s="107">
        <v>16000</v>
      </c>
      <c r="AE30" s="93">
        <f t="shared" si="4"/>
        <v>16000</v>
      </c>
      <c r="AF30" s="167"/>
      <c r="AG30" s="120">
        <f t="shared" si="3"/>
        <v>0</v>
      </c>
    </row>
    <row r="31" spans="1:33" ht="28.5" customHeight="1">
      <c r="A31" s="73" t="s">
        <v>88</v>
      </c>
      <c r="B31" s="106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55">
        <f t="shared" si="0"/>
        <v>16000</v>
      </c>
      <c r="AC31" s="67"/>
      <c r="AD31" s="107">
        <v>16000</v>
      </c>
      <c r="AE31" s="93">
        <f t="shared" si="4"/>
        <v>16000</v>
      </c>
      <c r="AF31" s="167"/>
      <c r="AG31" s="120">
        <f t="shared" si="3"/>
        <v>0</v>
      </c>
    </row>
    <row r="32" spans="1:33" ht="30" customHeight="1">
      <c r="A32" s="73" t="s">
        <v>89</v>
      </c>
      <c r="B32" s="106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55">
        <f t="shared" si="0"/>
        <v>16000</v>
      </c>
      <c r="AC32" s="67"/>
      <c r="AD32" s="107">
        <v>16000</v>
      </c>
      <c r="AE32" s="93">
        <f t="shared" si="4"/>
        <v>16000</v>
      </c>
      <c r="AF32" s="167"/>
      <c r="AG32" s="120">
        <f t="shared" si="3"/>
        <v>0</v>
      </c>
    </row>
    <row r="33" spans="1:33" ht="33" customHeight="1">
      <c r="A33" s="73" t="s">
        <v>90</v>
      </c>
      <c r="B33" s="106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55">
        <f t="shared" si="0"/>
        <v>52500</v>
      </c>
      <c r="AC33" s="67"/>
      <c r="AD33" s="107">
        <v>52500</v>
      </c>
      <c r="AE33" s="93">
        <f t="shared" si="4"/>
        <v>52500</v>
      </c>
      <c r="AF33" s="167"/>
      <c r="AG33" s="120">
        <f t="shared" si="3"/>
        <v>0</v>
      </c>
    </row>
    <row r="34" spans="1:33" ht="30.75" customHeight="1">
      <c r="A34" s="73" t="s">
        <v>91</v>
      </c>
      <c r="B34" s="106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55">
        <f t="shared" si="0"/>
        <v>16000</v>
      </c>
      <c r="AC34" s="67"/>
      <c r="AD34" s="107">
        <v>16000</v>
      </c>
      <c r="AE34" s="93">
        <f t="shared" si="4"/>
        <v>16000</v>
      </c>
      <c r="AF34" s="167"/>
      <c r="AG34" s="120">
        <f t="shared" si="3"/>
        <v>0</v>
      </c>
    </row>
    <row r="35" spans="1:33" ht="29.25" customHeight="1">
      <c r="A35" s="73" t="s">
        <v>92</v>
      </c>
      <c r="B35" s="106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55">
        <f t="shared" si="0"/>
        <v>63000</v>
      </c>
      <c r="AC35" s="67"/>
      <c r="AD35" s="107">
        <v>63000</v>
      </c>
      <c r="AE35" s="93">
        <f t="shared" si="4"/>
        <v>63000</v>
      </c>
      <c r="AF35" s="167"/>
      <c r="AG35" s="120">
        <f t="shared" si="3"/>
        <v>0</v>
      </c>
    </row>
    <row r="36" spans="1:33" ht="26.25" customHeight="1">
      <c r="A36" s="73" t="s">
        <v>93</v>
      </c>
      <c r="B36" s="106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55">
        <f t="shared" si="0"/>
        <v>65099.99999999999</v>
      </c>
      <c r="AC36" s="67"/>
      <c r="AD36" s="107">
        <v>65099.99999999999</v>
      </c>
      <c r="AE36" s="93">
        <f t="shared" si="4"/>
        <v>65099.99999999999</v>
      </c>
      <c r="AF36" s="167"/>
      <c r="AG36" s="120">
        <f t="shared" si="3"/>
        <v>0</v>
      </c>
    </row>
    <row r="37" spans="1:33" ht="29.25" customHeight="1">
      <c r="A37" s="73" t="s">
        <v>94</v>
      </c>
      <c r="B37" s="106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55">
        <f t="shared" si="0"/>
        <v>5000</v>
      </c>
      <c r="AC37" s="67"/>
      <c r="AD37" s="107">
        <v>5000</v>
      </c>
      <c r="AE37" s="93">
        <f t="shared" si="4"/>
        <v>5000</v>
      </c>
      <c r="AF37" s="167"/>
      <c r="AG37" s="120">
        <f t="shared" si="3"/>
        <v>0</v>
      </c>
    </row>
    <row r="38" spans="1:33" ht="27.75" customHeight="1">
      <c r="A38" s="73" t="s">
        <v>95</v>
      </c>
      <c r="B38" s="106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55">
        <f t="shared" si="0"/>
        <v>63000</v>
      </c>
      <c r="AC38" s="67"/>
      <c r="AD38" s="107">
        <v>63000</v>
      </c>
      <c r="AE38" s="93">
        <f t="shared" si="4"/>
        <v>63000</v>
      </c>
      <c r="AF38" s="167"/>
      <c r="AG38" s="120">
        <f t="shared" si="3"/>
        <v>0</v>
      </c>
    </row>
    <row r="39" spans="1:33" ht="35.25" customHeight="1">
      <c r="A39" s="73" t="s">
        <v>96</v>
      </c>
      <c r="B39" s="106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55">
        <f t="shared" si="0"/>
        <v>63000</v>
      </c>
      <c r="AC39" s="67"/>
      <c r="AD39" s="107">
        <v>63000</v>
      </c>
      <c r="AE39" s="93">
        <f t="shared" si="4"/>
        <v>63000</v>
      </c>
      <c r="AF39" s="167"/>
      <c r="AG39" s="120">
        <f t="shared" si="3"/>
        <v>0</v>
      </c>
    </row>
    <row r="40" spans="1:33" ht="27.75" customHeight="1">
      <c r="A40" s="73" t="s">
        <v>97</v>
      </c>
      <c r="B40" s="106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55">
        <f t="shared" si="0"/>
        <v>66150</v>
      </c>
      <c r="AC40" s="67"/>
      <c r="AD40" s="107">
        <v>66150</v>
      </c>
      <c r="AE40" s="93">
        <f t="shared" si="4"/>
        <v>66150</v>
      </c>
      <c r="AF40" s="167"/>
      <c r="AG40" s="120">
        <f t="shared" si="3"/>
        <v>0</v>
      </c>
    </row>
    <row r="41" spans="1:33" ht="36" customHeight="1">
      <c r="A41" s="73" t="s">
        <v>98</v>
      </c>
      <c r="B41" s="106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55">
        <f t="shared" si="0"/>
        <v>66150</v>
      </c>
      <c r="AC41" s="67"/>
      <c r="AD41" s="107">
        <v>66150</v>
      </c>
      <c r="AE41" s="93">
        <f t="shared" si="4"/>
        <v>66150</v>
      </c>
      <c r="AF41" s="167"/>
      <c r="AG41" s="120">
        <f t="shared" si="3"/>
        <v>0</v>
      </c>
    </row>
    <row r="42" spans="1:33" ht="33" customHeight="1">
      <c r="A42" s="73" t="s">
        <v>99</v>
      </c>
      <c r="B42" s="106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55">
        <f t="shared" si="0"/>
        <v>65099.99999999999</v>
      </c>
      <c r="AC42" s="67"/>
      <c r="AD42" s="107">
        <v>65099.99999999999</v>
      </c>
      <c r="AE42" s="93">
        <f t="shared" si="4"/>
        <v>65099.99999999999</v>
      </c>
      <c r="AF42" s="167"/>
      <c r="AG42" s="120">
        <f t="shared" si="3"/>
        <v>0</v>
      </c>
    </row>
    <row r="43" spans="1:33" ht="27.75" customHeight="1">
      <c r="A43" s="73" t="s">
        <v>100</v>
      </c>
      <c r="B43" s="106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55">
        <f t="shared" si="0"/>
        <v>110250</v>
      </c>
      <c r="AC43" s="67"/>
      <c r="AD43" s="107">
        <v>110250</v>
      </c>
      <c r="AE43" s="93">
        <f t="shared" si="4"/>
        <v>110250</v>
      </c>
      <c r="AF43" s="167"/>
      <c r="AG43" s="120">
        <f t="shared" si="3"/>
        <v>0</v>
      </c>
    </row>
    <row r="44" spans="1:33" ht="33.75" customHeight="1">
      <c r="A44" s="73" t="s">
        <v>101</v>
      </c>
      <c r="B44" s="106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55">
        <f t="shared" si="0"/>
        <v>37800</v>
      </c>
      <c r="AC44" s="67"/>
      <c r="AD44" s="107">
        <v>37800</v>
      </c>
      <c r="AE44" s="93">
        <f t="shared" si="4"/>
        <v>37800</v>
      </c>
      <c r="AF44" s="167"/>
      <c r="AG44" s="120">
        <f t="shared" si="3"/>
        <v>0</v>
      </c>
    </row>
    <row r="45" spans="1:33" ht="24" customHeight="1">
      <c r="A45" s="73" t="s">
        <v>102</v>
      </c>
      <c r="B45" s="106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55">
        <f t="shared" si="0"/>
        <v>441000</v>
      </c>
      <c r="AC45" s="67"/>
      <c r="AD45" s="107">
        <v>441000</v>
      </c>
      <c r="AE45" s="93">
        <f t="shared" si="4"/>
        <v>441000</v>
      </c>
      <c r="AF45" s="167"/>
      <c r="AG45" s="120">
        <f t="shared" si="3"/>
        <v>0</v>
      </c>
    </row>
    <row r="46" spans="1:33" ht="33.75" customHeight="1">
      <c r="A46" s="73" t="s">
        <v>103</v>
      </c>
      <c r="B46" s="106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55">
        <f t="shared" si="0"/>
        <v>3000</v>
      </c>
      <c r="AC46" s="67"/>
      <c r="AD46" s="107">
        <v>3000</v>
      </c>
      <c r="AE46" s="93">
        <f t="shared" si="4"/>
        <v>3000</v>
      </c>
      <c r="AF46" s="127">
        <v>1717</v>
      </c>
      <c r="AG46" s="120">
        <f t="shared" si="3"/>
        <v>57.233333333333334</v>
      </c>
    </row>
    <row r="47" spans="1:33" ht="39" customHeight="1">
      <c r="A47" s="73" t="s">
        <v>133</v>
      </c>
      <c r="B47" s="106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55">
        <f t="shared" si="0"/>
        <v>241750</v>
      </c>
      <c r="AC47" s="67"/>
      <c r="AD47" s="107">
        <v>241750</v>
      </c>
      <c r="AE47" s="93">
        <f t="shared" si="4"/>
        <v>241750</v>
      </c>
      <c r="AF47" s="127"/>
      <c r="AG47" s="120">
        <f t="shared" si="3"/>
        <v>0</v>
      </c>
    </row>
    <row r="48" spans="1:33" ht="39" customHeight="1">
      <c r="A48" s="73" t="s">
        <v>134</v>
      </c>
      <c r="B48" s="106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55">
        <f t="shared" si="0"/>
        <v>5000</v>
      </c>
      <c r="AC48" s="67"/>
      <c r="AD48" s="107">
        <v>5000</v>
      </c>
      <c r="AE48" s="93">
        <f t="shared" si="4"/>
        <v>5000</v>
      </c>
      <c r="AF48" s="127"/>
      <c r="AG48" s="120">
        <f t="shared" si="3"/>
        <v>0</v>
      </c>
    </row>
    <row r="49" spans="1:33" ht="28.5" customHeight="1">
      <c r="A49" s="73" t="s">
        <v>135</v>
      </c>
      <c r="B49" s="106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55">
        <f t="shared" si="0"/>
        <v>123000</v>
      </c>
      <c r="AC49" s="67"/>
      <c r="AD49" s="107">
        <v>123000</v>
      </c>
      <c r="AE49" s="93">
        <f t="shared" si="4"/>
        <v>123000</v>
      </c>
      <c r="AF49" s="127">
        <f>114641</f>
        <v>114641</v>
      </c>
      <c r="AG49" s="120">
        <f t="shared" si="3"/>
        <v>93.2040650406504</v>
      </c>
    </row>
    <row r="50" spans="1:33" ht="27" customHeight="1">
      <c r="A50" s="73" t="s">
        <v>136</v>
      </c>
      <c r="B50" s="106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5">
        <f t="shared" si="0"/>
        <v>123000</v>
      </c>
      <c r="AC50" s="64"/>
      <c r="AD50" s="107">
        <v>123000</v>
      </c>
      <c r="AE50" s="93">
        <f t="shared" si="4"/>
        <v>123000</v>
      </c>
      <c r="AF50" s="127">
        <f>114641</f>
        <v>114641</v>
      </c>
      <c r="AG50" s="120">
        <f t="shared" si="3"/>
        <v>93.2040650406504</v>
      </c>
    </row>
    <row r="51" spans="1:33" ht="24.75" customHeight="1">
      <c r="A51" s="73" t="s">
        <v>137</v>
      </c>
      <c r="B51" s="106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5">
        <f t="shared" si="0"/>
        <v>25000</v>
      </c>
      <c r="AC51" s="75"/>
      <c r="AD51" s="107">
        <v>25000</v>
      </c>
      <c r="AE51" s="93">
        <f t="shared" si="4"/>
        <v>25000</v>
      </c>
      <c r="AF51" s="127"/>
      <c r="AG51" s="120">
        <f t="shared" si="3"/>
        <v>0</v>
      </c>
    </row>
    <row r="52" spans="1:33" ht="42.75" customHeight="1">
      <c r="A52" s="85" t="s">
        <v>39</v>
      </c>
      <c r="B52" s="98" t="s">
        <v>119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54">
        <f>AB53</f>
        <v>10000000</v>
      </c>
      <c r="AC52" s="100"/>
      <c r="AD52" s="101">
        <f>AD53</f>
        <v>10000000</v>
      </c>
      <c r="AE52" s="87">
        <f>AE53</f>
        <v>10000000</v>
      </c>
      <c r="AF52" s="87">
        <f>AF53</f>
        <v>311428</v>
      </c>
      <c r="AG52" s="121">
        <f t="shared" si="3"/>
        <v>3.1142800000000004</v>
      </c>
    </row>
    <row r="53" spans="1:33" ht="51.75">
      <c r="A53" s="97" t="s">
        <v>54</v>
      </c>
      <c r="B53" s="106" t="s">
        <v>169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66">
        <f>AD53</f>
        <v>10000000</v>
      </c>
      <c r="AC53" s="75"/>
      <c r="AD53" s="76">
        <v>10000000</v>
      </c>
      <c r="AE53" s="76">
        <f>AD53</f>
        <v>10000000</v>
      </c>
      <c r="AF53" s="76">
        <f>307752+3676</f>
        <v>311428</v>
      </c>
      <c r="AG53" s="120">
        <f t="shared" si="3"/>
        <v>3.1142800000000004</v>
      </c>
    </row>
    <row r="54" spans="1:33" s="3" customFormat="1" ht="30.75" customHeight="1">
      <c r="A54" s="94" t="s">
        <v>40</v>
      </c>
      <c r="B54" s="95" t="s">
        <v>37</v>
      </c>
      <c r="C54" s="60">
        <f aca="true" t="shared" si="5" ref="C54:AA54">C55+C61+C69+C73+C80+C84+C88+C93+C95+C98+C99+C102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84508794.88</v>
      </c>
      <c r="AC54" s="60">
        <f>AC55+AC61+AC69+AC73+AC80+AC84+AC88+AC93+AC95+AC98+AC99+AC102</f>
        <v>83808794.88</v>
      </c>
      <c r="AD54" s="139">
        <f>AD88</f>
        <v>700000</v>
      </c>
      <c r="AE54" s="139">
        <f>AE88</f>
        <v>700000</v>
      </c>
      <c r="AF54" s="60">
        <f>AF55+AF61+AF69+AF73+AF80+AF84+AF88+AF93+AF95+AF98+AF99+AF102</f>
        <v>19843411.150000002</v>
      </c>
      <c r="AG54" s="162">
        <f t="shared" si="3"/>
        <v>23.480882881097834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6438645.47</v>
      </c>
      <c r="AG55" s="123">
        <f t="shared" si="3"/>
        <v>30.390617018719745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4">
        <f>324175+336167+149658</f>
        <v>810000</v>
      </c>
      <c r="AG56" s="120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28">
        <f>2603768.82+1149494.03+1033722.65</f>
        <v>4786985.5</v>
      </c>
      <c r="AG57" s="120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4">
        <f>30677+35118+29145+31188+40136.16+33458.25+5197.54+29845+22663.11+5197.54</f>
        <v>262625.6</v>
      </c>
      <c r="AG58" s="120">
        <f t="shared" si="3"/>
        <v>30.16258183071092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4">
        <f>45438.97+44255.69+37484.28+40935.59+44353.81+42750.1+40647.87+52921.26</f>
        <v>348787.57</v>
      </c>
      <c r="AG59" s="120">
        <f t="shared" si="3"/>
        <v>21.934945600905603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4">
        <f>100963.54+129283.26</f>
        <v>230246.8</v>
      </c>
      <c r="AG60" s="120">
        <f t="shared" si="3"/>
        <v>19.87245204005099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2791593.51</v>
      </c>
      <c r="AG61" s="123">
        <f t="shared" si="3"/>
        <v>23.69943978998831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28">
        <f>159420+157905.51</f>
        <v>317325.51</v>
      </c>
      <c r="AG62" s="120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28">
        <v>119988</v>
      </c>
      <c r="AG63" s="12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0"/>
      <c r="AG64" s="120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0"/>
      <c r="AG65" s="120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4">
        <f>334500+599412+766710+184408-382500+487050+229400</f>
        <v>2218980</v>
      </c>
      <c r="AG66" s="120">
        <f t="shared" si="3"/>
        <v>49.975338670990844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165">
        <f>135300</f>
        <v>135300</v>
      </c>
      <c r="AG68" s="120">
        <f t="shared" si="3"/>
        <v>6.765000000000001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3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1488642.18</v>
      </c>
      <c r="AG73" s="123">
        <f t="shared" si="3"/>
        <v>29.945292550741208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4">
        <f>1199.4+16730+3680.6+36809.09+43199.87+7541.4+27700.1+91947.58+25513.25+3292.87+78339.79+25100.6+26521.73+40768.75+180433.56</f>
        <v>608778.5899999999</v>
      </c>
      <c r="AG74" s="120">
        <f t="shared" si="3"/>
        <v>19.997719956376628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4">
        <f>382500+77500</f>
        <v>460000</v>
      </c>
      <c r="AG75" s="161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4">
        <f>14937.5+3286.25+67768.09+13945.14+18952.7+62004+18952.7+70935.29+19701.87+6615+74549.96</f>
        <v>371648.5</v>
      </c>
      <c r="AG76" s="120">
        <f t="shared" si="3"/>
        <v>28.23561812435422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48">
        <f>44770</f>
        <v>44770</v>
      </c>
      <c r="AG77" s="120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0"/>
      <c r="AG78" s="12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28">
        <f>1096.45+1623.08+725.56</f>
        <v>3445.0899999999997</v>
      </c>
      <c r="AG79" s="120">
        <f aca="true" t="shared" si="10" ref="AG79:AG117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>
        <f>AF83+AF81+AF82</f>
        <v>3352835.71</v>
      </c>
      <c r="AG80" s="123">
        <f t="shared" si="10"/>
        <v>13.703876756342288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61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61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129">
        <f>2564498.56+788337.15</f>
        <v>3352835.71</v>
      </c>
      <c r="AG83" s="161">
        <f t="shared" si="10"/>
        <v>16.76417855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SUM(C85:C87)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1014592.46</v>
      </c>
      <c r="AC84" s="19">
        <f>SUM(AC85:AC87)</f>
        <v>1014592.46</v>
      </c>
      <c r="AD84" s="68"/>
      <c r="AE84" s="19"/>
      <c r="AF84" s="23">
        <f>AF85+AF87</f>
        <v>625165.01</v>
      </c>
      <c r="AG84" s="123">
        <f t="shared" si="10"/>
        <v>61.6173522519574</v>
      </c>
    </row>
    <row r="85" spans="1:33" ht="25.5">
      <c r="A85" s="11"/>
      <c r="B85" s="22" t="s">
        <v>32</v>
      </c>
      <c r="AB85" s="43">
        <f aca="true" t="shared" si="13" ref="AB85:AB110">AC85+AD85</f>
        <v>559092.46</v>
      </c>
      <c r="AC85" s="20">
        <f>439698+119394.46</f>
        <v>559092.46</v>
      </c>
      <c r="AD85" s="68"/>
      <c r="AE85" s="20"/>
      <c r="AF85" s="124">
        <f>80937.24+20234.31+20234.31+23108.63+22431.99+23108.63</f>
        <v>190055.11</v>
      </c>
      <c r="AG85" s="120">
        <f t="shared" si="10"/>
        <v>33.9935026131456</v>
      </c>
    </row>
    <row r="86" spans="1:33" ht="51.75">
      <c r="A86" s="11"/>
      <c r="B86" s="22" t="s">
        <v>188</v>
      </c>
      <c r="AB86" s="43">
        <f t="shared" si="13"/>
        <v>20000</v>
      </c>
      <c r="AC86" s="20">
        <v>20000</v>
      </c>
      <c r="AD86" s="68"/>
      <c r="AE86" s="20"/>
      <c r="AF86" s="124"/>
      <c r="AG86" s="120"/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3"/>
      <c r="AE87" s="20"/>
      <c r="AF87" s="124">
        <f>165041+110068.9+160000</f>
        <v>435109.9</v>
      </c>
      <c r="AG87" s="120">
        <f t="shared" si="10"/>
        <v>99.91042479908153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4">
        <f>AD92</f>
        <v>700000</v>
      </c>
      <c r="AE88" s="74">
        <f>AE92</f>
        <v>700000</v>
      </c>
      <c r="AF88" s="23">
        <f>SUM(AF89:AF91)</f>
        <v>4497425.32</v>
      </c>
      <c r="AG88" s="123">
        <f t="shared" si="10"/>
        <v>27.234516159283984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5"/>
      <c r="AE89" s="20"/>
      <c r="AF89" s="129">
        <f>3239581.88+288592.38+183500+271256.86+183500+55896.13</f>
        <v>4222327.25</v>
      </c>
      <c r="AG89" s="120">
        <f t="shared" si="10"/>
        <v>28.366353189885533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4"/>
      <c r="AE90" s="20"/>
      <c r="AF90" s="129">
        <f>145332+51839.42+77926.65</f>
        <v>275098.06999999995</v>
      </c>
      <c r="AG90" s="120">
        <f t="shared" si="10"/>
        <v>30.610258563252085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7"/>
      <c r="AE91" s="20"/>
      <c r="AF91" s="124"/>
      <c r="AG91" s="120">
        <f t="shared" si="10"/>
        <v>0</v>
      </c>
    </row>
    <row r="92" spans="1:33" ht="18" customHeight="1">
      <c r="A92" s="11"/>
      <c r="B92" s="22" t="s">
        <v>178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7">
        <f>AD92</f>
        <v>700000</v>
      </c>
      <c r="AC92" s="20"/>
      <c r="AD92" s="18">
        <v>700000</v>
      </c>
      <c r="AE92" s="78">
        <v>700000</v>
      </c>
      <c r="AF92" s="148"/>
      <c r="AG92" s="120">
        <f t="shared" si="10"/>
        <v>0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3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20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606137.9500000001</v>
      </c>
      <c r="AG95" s="120">
        <f t="shared" si="10"/>
        <v>27.426696663256457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5">
        <v>598673.81</v>
      </c>
      <c r="AG96" s="120">
        <f t="shared" si="10"/>
        <v>28.372776393120663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5">
        <f>1533.37+3783.47+2147.3</f>
        <v>7464.14</v>
      </c>
      <c r="AG97" s="120">
        <f t="shared" si="10"/>
        <v>7.4641399999999996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6">
        <f>13200+29766</f>
        <v>42966</v>
      </c>
      <c r="AG98" s="120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9"/>
      <c r="AF99" s="23"/>
      <c r="AG99" s="123">
        <f t="shared" si="10"/>
        <v>0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37"/>
      <c r="AG100" s="120">
        <f t="shared" si="10"/>
        <v>0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37"/>
      <c r="AG101" s="120">
        <f t="shared" si="10"/>
        <v>0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/>
      <c r="AG102" s="123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20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20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4"/>
      <c r="AE105" s="25"/>
      <c r="AF105" s="122"/>
      <c r="AG105" s="119">
        <f t="shared" si="10"/>
        <v>0</v>
      </c>
    </row>
    <row r="106" spans="1:33" ht="30" customHeight="1">
      <c r="A106" s="91" t="s">
        <v>104</v>
      </c>
      <c r="B106" s="92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9">
        <f t="shared" si="13"/>
        <v>35280</v>
      </c>
      <c r="AC106" s="59">
        <v>35280</v>
      </c>
      <c r="AD106" s="19"/>
      <c r="AE106" s="59"/>
      <c r="AF106" s="37"/>
      <c r="AG106" s="120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6">
        <f>SUM(AC109:AC110)+AC111+AC112</f>
        <v>4393820</v>
      </c>
      <c r="AD107" s="25">
        <f>AD111</f>
        <v>190000</v>
      </c>
      <c r="AE107" s="25">
        <f>AE111</f>
        <v>190000</v>
      </c>
      <c r="AF107" s="56">
        <f>SUM(AF109:AF110)</f>
        <v>186325.07</v>
      </c>
      <c r="AG107" s="119">
        <f t="shared" si="10"/>
        <v>4.064842642163087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1">
        <f>AC109+AC110</f>
        <v>893820</v>
      </c>
      <c r="AD108" s="20"/>
      <c r="AE108" s="37"/>
      <c r="AF108" s="160">
        <f>AF109</f>
        <v>186325.07</v>
      </c>
      <c r="AG108" s="123">
        <f t="shared" si="10"/>
        <v>17.191514273587867</v>
      </c>
    </row>
    <row r="109" spans="1:33" ht="51.75">
      <c r="A109" s="10"/>
      <c r="B109" s="92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9">
        <f t="shared" si="13"/>
        <v>821820</v>
      </c>
      <c r="AC109" s="58">
        <v>821820</v>
      </c>
      <c r="AD109" s="20"/>
      <c r="AE109" s="37"/>
      <c r="AF109" s="127">
        <f>109655.91+23259.68+27706.63+7350+18352.85</f>
        <v>186325.07</v>
      </c>
      <c r="AG109" s="120">
        <f t="shared" si="10"/>
        <v>22.67224818086686</v>
      </c>
    </row>
    <row r="110" spans="1:33" ht="25.5">
      <c r="A110" s="10"/>
      <c r="B110" s="92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9">
        <f t="shared" si="13"/>
        <v>72000</v>
      </c>
      <c r="AC110" s="58">
        <v>72000</v>
      </c>
      <c r="AD110" s="19"/>
      <c r="AE110" s="37"/>
      <c r="AF110" s="37"/>
      <c r="AG110" s="120">
        <f t="shared" si="10"/>
        <v>0</v>
      </c>
    </row>
    <row r="111" spans="1:33" ht="25.5">
      <c r="A111" s="10"/>
      <c r="B111" s="106" t="s">
        <v>170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>
        <f>AD111</f>
        <v>190000</v>
      </c>
      <c r="AC111" s="150"/>
      <c r="AD111" s="153">
        <f>50000+140000</f>
        <v>190000</v>
      </c>
      <c r="AE111" s="153">
        <f>AD111</f>
        <v>190000</v>
      </c>
      <c r="AF111" s="37"/>
      <c r="AG111" s="120">
        <f t="shared" si="10"/>
        <v>0</v>
      </c>
    </row>
    <row r="112" spans="1:33" ht="25.5">
      <c r="A112" s="27" t="s">
        <v>180</v>
      </c>
      <c r="B112" s="149" t="s">
        <v>181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51">
        <f>AC112</f>
        <v>3500000</v>
      </c>
      <c r="AC112" s="71">
        <v>3500000</v>
      </c>
      <c r="AD112" s="58"/>
      <c r="AE112" s="58"/>
      <c r="AF112" s="152"/>
      <c r="AG112" s="123">
        <f t="shared" si="10"/>
        <v>0</v>
      </c>
    </row>
    <row r="113" spans="1:33" ht="42" customHeight="1">
      <c r="A113" s="28" t="s">
        <v>131</v>
      </c>
      <c r="B113" s="55" t="s">
        <v>74</v>
      </c>
      <c r="C113" s="56" t="e">
        <f>SUM(#REF!)</f>
        <v>#REF!</v>
      </c>
      <c r="D113" s="56" t="e">
        <f>SUM(#REF!)</f>
        <v>#REF!</v>
      </c>
      <c r="E113" s="56" t="e">
        <f>SUM(#REF!)</f>
        <v>#REF!</v>
      </c>
      <c r="F113" s="56" t="e">
        <f>SUM(#REF!)</f>
        <v>#REF!</v>
      </c>
      <c r="G113" s="56" t="e">
        <f>SUM(#REF!)</f>
        <v>#REF!</v>
      </c>
      <c r="H113" s="56" t="e">
        <f>SUM(#REF!)</f>
        <v>#REF!</v>
      </c>
      <c r="I113" s="56" t="e">
        <f>SUM(#REF!)</f>
        <v>#REF!</v>
      </c>
      <c r="J113" s="56" t="e">
        <f>SUM(#REF!)</f>
        <v>#REF!</v>
      </c>
      <c r="K113" s="56" t="e">
        <f>SUM(#REF!)</f>
        <v>#REF!</v>
      </c>
      <c r="L113" s="56" t="e">
        <f>SUM(#REF!)</f>
        <v>#REF!</v>
      </c>
      <c r="M113" s="56" t="e">
        <f>SUM(#REF!)</f>
        <v>#REF!</v>
      </c>
      <c r="N113" s="56" t="e">
        <f>SUM(#REF!)</f>
        <v>#REF!</v>
      </c>
      <c r="O113" s="56" t="e">
        <f>SUM(#REF!)</f>
        <v>#REF!</v>
      </c>
      <c r="P113" s="56" t="e">
        <f>SUM(#REF!)</f>
        <v>#REF!</v>
      </c>
      <c r="Q113" s="56" t="e">
        <f>SUM(#REF!)</f>
        <v>#REF!</v>
      </c>
      <c r="R113" s="56" t="e">
        <f>SUM(#REF!)</f>
        <v>#REF!</v>
      </c>
      <c r="S113" s="56" t="e">
        <f>SUM(#REF!)</f>
        <v>#REF!</v>
      </c>
      <c r="T113" s="56" t="e">
        <f>SUM(#REF!)</f>
        <v>#REF!</v>
      </c>
      <c r="U113" s="56" t="e">
        <f>SUM(#REF!)</f>
        <v>#REF!</v>
      </c>
      <c r="V113" s="56" t="e">
        <f>SUM(#REF!)</f>
        <v>#REF!</v>
      </c>
      <c r="W113" s="56" t="e">
        <f>SUM(#REF!)</f>
        <v>#REF!</v>
      </c>
      <c r="X113" s="56" t="e">
        <f>SUM(#REF!)</f>
        <v>#REF!</v>
      </c>
      <c r="Y113" s="56" t="e">
        <f>SUM(#REF!)</f>
        <v>#REF!</v>
      </c>
      <c r="Z113" s="56" t="e">
        <f>SUM(#REF!)</f>
        <v>#REF!</v>
      </c>
      <c r="AA113" s="56" t="e">
        <f>SUM(#REF!)</f>
        <v>#REF!</v>
      </c>
      <c r="AB113" s="56">
        <f>AB114+AD113</f>
        <v>16829251.08</v>
      </c>
      <c r="AC113" s="70">
        <f>AC114</f>
        <v>16829251.08</v>
      </c>
      <c r="AD113" s="164"/>
      <c r="AE113" s="70"/>
      <c r="AF113" s="163">
        <f>AF114</f>
        <v>9923711.13</v>
      </c>
      <c r="AG113" s="119">
        <f t="shared" si="10"/>
        <v>58.96703948872336</v>
      </c>
    </row>
    <row r="114" spans="1:33" ht="51.75">
      <c r="A114" s="114" t="s">
        <v>132</v>
      </c>
      <c r="B114" s="108" t="s">
        <v>75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0">
        <f>AC114+AD114</f>
        <v>16829251.08</v>
      </c>
      <c r="AC114" s="110">
        <f>829251.08+16000000</f>
        <v>16829251.08</v>
      </c>
      <c r="AD114" s="78"/>
      <c r="AE114" s="58"/>
      <c r="AF114" s="110">
        <v>9923711.13</v>
      </c>
      <c r="AG114" s="120">
        <f t="shared" si="10"/>
        <v>58.96703948872336</v>
      </c>
    </row>
    <row r="115" spans="1:33" ht="30">
      <c r="A115" s="102" t="s">
        <v>139</v>
      </c>
      <c r="B115" s="111" t="s">
        <v>140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12">
        <f>AC115</f>
        <v>25000000</v>
      </c>
      <c r="AC115" s="112">
        <f>AC116</f>
        <v>25000000</v>
      </c>
      <c r="AD115" s="113"/>
      <c r="AE115" s="90"/>
      <c r="AF115" s="122"/>
      <c r="AG115" s="119">
        <f t="shared" si="10"/>
        <v>0</v>
      </c>
    </row>
    <row r="116" spans="1:33" ht="80.25" customHeight="1">
      <c r="A116" s="91" t="s">
        <v>141</v>
      </c>
      <c r="B116" s="115" t="s">
        <v>186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110">
        <f>AC116+AD116</f>
        <v>25000000</v>
      </c>
      <c r="AC116" s="58">
        <v>25000000</v>
      </c>
      <c r="AD116" s="72"/>
      <c r="AE116" s="58"/>
      <c r="AF116" s="37"/>
      <c r="AG116" s="120">
        <f t="shared" si="10"/>
        <v>0</v>
      </c>
    </row>
    <row r="117" spans="1:33" ht="20.25" customHeight="1">
      <c r="A117" s="91"/>
      <c r="B117" s="156" t="s">
        <v>182</v>
      </c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8">
        <f>AC117+AD117</f>
        <v>165379733.39</v>
      </c>
      <c r="AC117" s="158">
        <f>AC115+AC113+AC107+AC105+AC54+AC52+AC10</f>
        <v>130067145.96</v>
      </c>
      <c r="AD117" s="158">
        <f>AD115+AD113+AD107+AD105+AD54+AD52+AD10</f>
        <v>35312587.43</v>
      </c>
      <c r="AE117" s="158">
        <f>AE115+AE113+AE107+AE105+AE54+AE52+AE10</f>
        <v>35312587.43</v>
      </c>
      <c r="AF117" s="158">
        <f>AF115+AF113+AF107+AF105+AF54+AF52+AF10</f>
        <v>30606297.880000003</v>
      </c>
      <c r="AG117" s="159">
        <f t="shared" si="10"/>
        <v>18.506679901233095</v>
      </c>
    </row>
    <row r="118" spans="1:33" ht="15.75" customHeight="1">
      <c r="A118" s="171" t="s">
        <v>176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3"/>
    </row>
    <row r="119" spans="1:33" ht="18" customHeight="1">
      <c r="A119" s="141" t="s">
        <v>41</v>
      </c>
      <c r="B119" s="142" t="s">
        <v>37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43">
        <f>AB120</f>
        <v>300000</v>
      </c>
      <c r="AC119" s="144"/>
      <c r="AD119" s="144">
        <f>AD120</f>
        <v>300000</v>
      </c>
      <c r="AE119" s="144">
        <f>AE120</f>
        <v>300000</v>
      </c>
      <c r="AF119" s="145"/>
      <c r="AG119" s="146">
        <f>AF119/AB119*100</f>
        <v>0</v>
      </c>
    </row>
    <row r="120" spans="1:33" ht="33" customHeight="1">
      <c r="A120" s="91" t="s">
        <v>27</v>
      </c>
      <c r="B120" s="115" t="s">
        <v>177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110">
        <v>300000</v>
      </c>
      <c r="AC120" s="58"/>
      <c r="AD120" s="58">
        <v>300000</v>
      </c>
      <c r="AE120" s="58">
        <v>300000</v>
      </c>
      <c r="AF120" s="37"/>
      <c r="AG120" s="120">
        <f>AF120/AB120*100</f>
        <v>0</v>
      </c>
    </row>
    <row r="121" spans="1:33" ht="18.75" customHeight="1">
      <c r="A121" s="88"/>
      <c r="B121" s="154" t="s">
        <v>183</v>
      </c>
      <c r="C121" s="89">
        <f aca="true" t="shared" si="21" ref="C121:AA121">C105+C54+C107</f>
        <v>9203452</v>
      </c>
      <c r="D121" s="89">
        <f t="shared" si="21"/>
        <v>9203452</v>
      </c>
      <c r="E121" s="89">
        <f t="shared" si="21"/>
        <v>9203452</v>
      </c>
      <c r="F121" s="89">
        <f t="shared" si="21"/>
        <v>9203452</v>
      </c>
      <c r="G121" s="89">
        <f t="shared" si="21"/>
        <v>9203452</v>
      </c>
      <c r="H121" s="89">
        <f t="shared" si="21"/>
        <v>9203452</v>
      </c>
      <c r="I121" s="89">
        <f t="shared" si="21"/>
        <v>9203452</v>
      </c>
      <c r="J121" s="89">
        <f t="shared" si="21"/>
        <v>9203452</v>
      </c>
      <c r="K121" s="89">
        <f t="shared" si="21"/>
        <v>9203452</v>
      </c>
      <c r="L121" s="89">
        <f t="shared" si="21"/>
        <v>9203452</v>
      </c>
      <c r="M121" s="89">
        <f t="shared" si="21"/>
        <v>9203452</v>
      </c>
      <c r="N121" s="89">
        <f t="shared" si="21"/>
        <v>9203452</v>
      </c>
      <c r="O121" s="89">
        <f t="shared" si="21"/>
        <v>9203452</v>
      </c>
      <c r="P121" s="89">
        <f t="shared" si="21"/>
        <v>9203452</v>
      </c>
      <c r="Q121" s="89">
        <f t="shared" si="21"/>
        <v>9203452</v>
      </c>
      <c r="R121" s="89">
        <f t="shared" si="21"/>
        <v>9203452</v>
      </c>
      <c r="S121" s="89">
        <f t="shared" si="21"/>
        <v>9203452</v>
      </c>
      <c r="T121" s="89">
        <f t="shared" si="21"/>
        <v>9203452</v>
      </c>
      <c r="U121" s="89">
        <f t="shared" si="21"/>
        <v>9203452</v>
      </c>
      <c r="V121" s="89">
        <f t="shared" si="21"/>
        <v>9203452</v>
      </c>
      <c r="W121" s="89">
        <f t="shared" si="21"/>
        <v>9203452</v>
      </c>
      <c r="X121" s="89">
        <f t="shared" si="21"/>
        <v>9203452</v>
      </c>
      <c r="Y121" s="89">
        <f t="shared" si="21"/>
        <v>9203452</v>
      </c>
      <c r="Z121" s="89">
        <f t="shared" si="21"/>
        <v>9203452</v>
      </c>
      <c r="AA121" s="89">
        <f t="shared" si="21"/>
        <v>9203452</v>
      </c>
      <c r="AB121" s="89">
        <f>AC121+AD121</f>
        <v>165679733.39</v>
      </c>
      <c r="AC121" s="89">
        <f>AC115+AC113+AC107+AC105+AC54+AC52+AC10</f>
        <v>130067145.96</v>
      </c>
      <c r="AD121" s="89">
        <f>AD115+AD113+AD107+AD105+AD54+AD52+AD10+AD119</f>
        <v>35612587.43</v>
      </c>
      <c r="AE121" s="89">
        <f>AE115+AE113+AE107+AE105+AE54+AE52+AE10+AE119</f>
        <v>35612587.43</v>
      </c>
      <c r="AF121" s="89">
        <f>AF115+AF113+AF107+AF105+AF54+AF52+AF10+AF119</f>
        <v>30606297.880000003</v>
      </c>
      <c r="AG121" s="119">
        <f>AF121/AB121*100</f>
        <v>18.4731694418862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9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80"/>
      <c r="AF124" s="4" t="s">
        <v>187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9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9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9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9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80"/>
    </row>
    <row r="136" ht="12.75">
      <c r="AD136" s="33"/>
    </row>
    <row r="137" ht="12.75">
      <c r="AD137" s="80"/>
    </row>
    <row r="138" ht="12.75">
      <c r="AD138" s="33"/>
    </row>
    <row r="139" ht="12.75">
      <c r="AD139" s="33"/>
    </row>
    <row r="140" ht="12.75">
      <c r="AD140" s="81"/>
    </row>
    <row r="141" ht="12.75">
      <c r="AD141" s="81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2"/>
    </row>
    <row r="148" ht="12.75">
      <c r="AD148" s="83"/>
    </row>
    <row r="149" ht="15">
      <c r="AD149" s="82"/>
    </row>
    <row r="150" ht="12.75">
      <c r="AD150" s="33"/>
    </row>
    <row r="151" ht="12.75">
      <c r="AD151" s="33"/>
    </row>
    <row r="152" ht="12.75">
      <c r="AD152" s="33"/>
    </row>
    <row r="153" ht="15">
      <c r="AD153" s="82"/>
    </row>
    <row r="154" ht="12.75">
      <c r="AD154" s="83"/>
    </row>
    <row r="155" ht="12.75">
      <c r="AD155" s="33"/>
    </row>
    <row r="158" ht="18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2019-05-07T07:17:07Z</dcterms:modified>
  <cp:category/>
  <cp:version/>
  <cp:contentType/>
  <cp:contentStatus/>
</cp:coreProperties>
</file>